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<sst xmlns="http://schemas.openxmlformats.org/spreadsheetml/2006/main" count="1235" uniqueCount="291">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</sst>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285</v>
      </c>
      <c r="N3" s="218" t="s">
        <v>286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282</v>
      </c>
      <c r="F4" s="223" t="s">
        <v>116</v>
      </c>
      <c r="G4" s="225" t="s">
        <v>283</v>
      </c>
      <c r="H4" s="227" t="s">
        <v>284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290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287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309441.54000000004</v>
      </c>
      <c r="G8" s="18">
        <f aca="true" t="shared" si="0" ref="G8:G54">F8-E8</f>
        <v>-18906.859999999928</v>
      </c>
      <c r="H8" s="45">
        <f>F8/E8*100</f>
        <v>94.24182971502223</v>
      </c>
      <c r="I8" s="31">
        <f aca="true" t="shared" si="1" ref="I8:I54">F8-D8</f>
        <v>-207987.45999999996</v>
      </c>
      <c r="J8" s="31">
        <f aca="true" t="shared" si="2" ref="J8:J14">F8/D8*100</f>
        <v>59.803671614849584</v>
      </c>
      <c r="K8" s="18">
        <f>K9+K15+K18+K19+K20+K32</f>
        <v>32130.314000000013</v>
      </c>
      <c r="L8" s="18"/>
      <c r="M8" s="18">
        <f>M9+M15+M18+M19+M20+M32+M17</f>
        <v>46752</v>
      </c>
      <c r="N8" s="18">
        <f>N9+N15+N18+N19+N20+N32+N17</f>
        <v>4322.424999999999</v>
      </c>
      <c r="O8" s="31">
        <f aca="true" t="shared" si="3" ref="O8:O54">N8-M8</f>
        <v>-42429.575</v>
      </c>
      <c r="P8" s="31">
        <f>F8/M8*100</f>
        <v>661.8787217659138</v>
      </c>
      <c r="Q8" s="31">
        <f>N8-33748.16</f>
        <v>-29425.735000000004</v>
      </c>
      <c r="R8" s="125">
        <f>N8/33748.16</f>
        <v>0.12807883452016344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174558.72</v>
      </c>
      <c r="G9" s="43">
        <f t="shared" si="0"/>
        <v>-13745.929999999993</v>
      </c>
      <c r="H9" s="35">
        <f aca="true" t="shared" si="4" ref="H9:H32">F9/E9*100</f>
        <v>92.70016433476285</v>
      </c>
      <c r="I9" s="50">
        <f t="shared" si="1"/>
        <v>-138131.28</v>
      </c>
      <c r="J9" s="50">
        <f t="shared" si="2"/>
        <v>55.82484889187375</v>
      </c>
      <c r="K9" s="132">
        <f>F9-217885.62/75*60</f>
        <v>250.22400000001653</v>
      </c>
      <c r="L9" s="132">
        <f>F9/(217885.62/75*60)*100</f>
        <v>100.14355238312653</v>
      </c>
      <c r="M9" s="35">
        <f>E9-червень!E9</f>
        <v>28146</v>
      </c>
      <c r="N9" s="35">
        <f>F9-червень!F9</f>
        <v>3179</v>
      </c>
      <c r="O9" s="47">
        <f t="shared" si="3"/>
        <v>-24967</v>
      </c>
      <c r="P9" s="50">
        <f aca="true" t="shared" si="5" ref="P9:P32">N9/M9*100</f>
        <v>11.294677751723157</v>
      </c>
      <c r="Q9" s="132">
        <f>N9-26568.11</f>
        <v>-23389.11</v>
      </c>
      <c r="R9" s="133">
        <f>N9/26568.11</f>
        <v>0.11965472892125183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154873.69</v>
      </c>
      <c r="G10" s="135">
        <f t="shared" si="0"/>
        <v>-10356.559999999998</v>
      </c>
      <c r="H10" s="137">
        <f t="shared" si="4"/>
        <v>93.73204361792105</v>
      </c>
      <c r="I10" s="136">
        <f t="shared" si="1"/>
        <v>-85536.31</v>
      </c>
      <c r="J10" s="136">
        <f t="shared" si="2"/>
        <v>64.42065221912566</v>
      </c>
      <c r="K10" s="138">
        <f>F10-193695.6/75*60</f>
        <v>-82.79000000000815</v>
      </c>
      <c r="L10" s="138">
        <f>F10/(193695.6/75*60)*100</f>
        <v>99.94657209559742</v>
      </c>
      <c r="M10" s="35">
        <f>E10-червень!E10</f>
        <v>23736</v>
      </c>
      <c r="N10" s="35">
        <f>F10-червень!F10</f>
        <v>2646.790000000008</v>
      </c>
      <c r="O10" s="138">
        <f t="shared" si="3"/>
        <v>-21089.209999999992</v>
      </c>
      <c r="P10" s="136">
        <f t="shared" si="5"/>
        <v>11.150952140209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9213.1</v>
      </c>
      <c r="G11" s="135">
        <f t="shared" si="0"/>
        <v>-3494.8999999999996</v>
      </c>
      <c r="H11" s="137">
        <f t="shared" si="4"/>
        <v>72.4984261882279</v>
      </c>
      <c r="I11" s="136">
        <f t="shared" si="1"/>
        <v>-14486.9</v>
      </c>
      <c r="J11" s="136">
        <f t="shared" si="2"/>
        <v>38.87383966244726</v>
      </c>
      <c r="K11" s="138">
        <f>F11-13818.75/75*60</f>
        <v>-1841.8999999999996</v>
      </c>
      <c r="L11" s="138">
        <f>F11/(13818.75/75*60)*100</f>
        <v>83.33876074174582</v>
      </c>
      <c r="M11" s="35">
        <f>E11-червень!E11</f>
        <v>1920</v>
      </c>
      <c r="N11" s="35">
        <f>F11-червень!F11</f>
        <v>0</v>
      </c>
      <c r="O11" s="138">
        <f t="shared" si="3"/>
        <v>-1920</v>
      </c>
      <c r="P11" s="136">
        <f t="shared" si="5"/>
        <v>0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2665.79</v>
      </c>
      <c r="G12" s="135">
        <f t="shared" si="0"/>
        <v>-163.21000000000004</v>
      </c>
      <c r="H12" s="137">
        <f t="shared" si="4"/>
        <v>94.23082361258395</v>
      </c>
      <c r="I12" s="136">
        <f t="shared" si="1"/>
        <v>-3134.21</v>
      </c>
      <c r="J12" s="136">
        <f t="shared" si="2"/>
        <v>45.96189655172414</v>
      </c>
      <c r="K12" s="138">
        <f>F12-4382.58/75*60</f>
        <v>-840.2739999999999</v>
      </c>
      <c r="L12" s="138">
        <f>F12/(4382.58*60)*100</f>
        <v>1.0137825968569503</v>
      </c>
      <c r="M12" s="35">
        <f>E12-червень!E12</f>
        <v>330</v>
      </c>
      <c r="N12" s="35">
        <f>F12-червень!F12</f>
        <v>73.25999999999976</v>
      </c>
      <c r="O12" s="138">
        <f t="shared" si="3"/>
        <v>-256.74000000000024</v>
      </c>
      <c r="P12" s="136">
        <f t="shared" si="5"/>
        <v>22.19999999999993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2985.11</v>
      </c>
      <c r="G13" s="135">
        <f t="shared" si="0"/>
        <v>-2128.2899999999995</v>
      </c>
      <c r="H13" s="137">
        <f t="shared" si="4"/>
        <v>58.3781828137834</v>
      </c>
      <c r="I13" s="136">
        <f t="shared" si="1"/>
        <v>-5414.889999999999</v>
      </c>
      <c r="J13" s="136">
        <f t="shared" si="2"/>
        <v>35.53702380952381</v>
      </c>
      <c r="K13" s="138">
        <f>F13-5960.54/75*60</f>
        <v>-1783.3219999999997</v>
      </c>
      <c r="L13" s="138">
        <f>F13/(5960.54/75*60)*100</f>
        <v>62.601500870726476</v>
      </c>
      <c r="M13" s="35">
        <f>E13-червень!E13</f>
        <v>1769.9999999999995</v>
      </c>
      <c r="N13" s="35">
        <f>F13-червень!F13</f>
        <v>201.70000000000027</v>
      </c>
      <c r="O13" s="138">
        <f t="shared" si="3"/>
        <v>-1568.2999999999993</v>
      </c>
      <c r="P13" s="136">
        <f t="shared" si="5"/>
        <v>11.395480225988718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4821.03</v>
      </c>
      <c r="G14" s="135">
        <f t="shared" si="0"/>
        <v>2397.0299999999997</v>
      </c>
      <c r="H14" s="137">
        <f t="shared" si="4"/>
        <v>198.88737623762376</v>
      </c>
      <c r="I14" s="136">
        <f t="shared" si="1"/>
        <v>441.02999999999975</v>
      </c>
      <c r="J14" s="136">
        <f t="shared" si="2"/>
        <v>110.06917808219177</v>
      </c>
      <c r="K14" s="138">
        <f>F14-28.15/75*60</f>
        <v>4798.509999999999</v>
      </c>
      <c r="L14" s="138">
        <f>F14/(28.15/75*60)*100</f>
        <v>21407.77087033748</v>
      </c>
      <c r="M14" s="35">
        <f>E14-червень!E14</f>
        <v>390</v>
      </c>
      <c r="N14" s="35">
        <f>F14-червень!F14</f>
        <v>257.2599999999993</v>
      </c>
      <c r="O14" s="138">
        <f t="shared" si="3"/>
        <v>-132.7400000000007</v>
      </c>
      <c r="P14" s="136">
        <f t="shared" si="5"/>
        <v>65.96410256410239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30119.51</v>
      </c>
      <c r="G19" s="43">
        <f t="shared" si="0"/>
        <v>3896.7599999999984</v>
      </c>
      <c r="H19" s="35">
        <f t="shared" si="4"/>
        <v>114.86022633019037</v>
      </c>
      <c r="I19" s="50">
        <f t="shared" si="1"/>
        <v>169.5099999999984</v>
      </c>
      <c r="J19" s="178">
        <f>F19/D19*100</f>
        <v>100.56597662771284</v>
      </c>
      <c r="K19" s="179">
        <f>F19-0</f>
        <v>30119.51</v>
      </c>
      <c r="L19" s="180"/>
      <c r="M19" s="35">
        <f>E19-червень!E19</f>
        <v>2720</v>
      </c>
      <c r="N19" s="35">
        <f>F19-червень!F19</f>
        <v>3.0159999999996217</v>
      </c>
      <c r="O19" s="47">
        <f t="shared" si="3"/>
        <v>-2716.9840000000004</v>
      </c>
      <c r="P19" s="50">
        <f t="shared" si="5"/>
        <v>0.11088235294116255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101581.87000000001</v>
      </c>
      <c r="G20" s="43">
        <f t="shared" si="0"/>
        <v>-8052.829999999987</v>
      </c>
      <c r="H20" s="35">
        <f t="shared" si="4"/>
        <v>92.6548528887296</v>
      </c>
      <c r="I20" s="50">
        <f t="shared" si="1"/>
        <v>-65188.12999999999</v>
      </c>
      <c r="J20" s="178">
        <f aca="true" t="shared" si="6" ref="J20:J46">F20/D20*100</f>
        <v>60.91135695868562</v>
      </c>
      <c r="K20" s="178">
        <f>K21+K25+K26+K27</f>
        <v>4239.989999999995</v>
      </c>
      <c r="L20" s="136"/>
      <c r="M20" s="35">
        <f>E20-червень!E20</f>
        <v>15878.800000000003</v>
      </c>
      <c r="N20" s="35">
        <f>F20-червень!F20</f>
        <v>1137.5190000000002</v>
      </c>
      <c r="O20" s="47">
        <f t="shared" si="3"/>
        <v>-14741.281000000003</v>
      </c>
      <c r="P20" s="50">
        <f t="shared" si="5"/>
        <v>7.163759226137996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55245.670000000006</v>
      </c>
      <c r="G21" s="43">
        <f t="shared" si="0"/>
        <v>-2432.5299999999916</v>
      </c>
      <c r="H21" s="35">
        <f t="shared" si="4"/>
        <v>95.78258336771952</v>
      </c>
      <c r="I21" s="50">
        <f t="shared" si="1"/>
        <v>-42954.329999999994</v>
      </c>
      <c r="J21" s="178">
        <f t="shared" si="6"/>
        <v>56.258319755600816</v>
      </c>
      <c r="K21" s="178">
        <f>K22+K23+K24</f>
        <v>7884.409999999999</v>
      </c>
      <c r="L21" s="136"/>
      <c r="M21" s="35">
        <f>E21-червень!E21</f>
        <v>9321</v>
      </c>
      <c r="N21" s="35">
        <f>F21-червень!F21</f>
        <v>488.35399999999936</v>
      </c>
      <c r="O21" s="47">
        <f t="shared" si="3"/>
        <v>-8832.646</v>
      </c>
      <c r="P21" s="50">
        <f t="shared" si="5"/>
        <v>5.239287630082602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5038.12</v>
      </c>
      <c r="G22" s="135">
        <f t="shared" si="0"/>
        <v>4458.92</v>
      </c>
      <c r="H22" s="137">
        <f t="shared" si="4"/>
        <v>869.8411602209944</v>
      </c>
      <c r="I22" s="136">
        <f t="shared" si="1"/>
        <v>4038.12</v>
      </c>
      <c r="J22" s="136">
        <f t="shared" si="6"/>
        <v>503.812</v>
      </c>
      <c r="K22" s="136">
        <f>F22-259.1</f>
        <v>4779.0199999999995</v>
      </c>
      <c r="L22" s="136">
        <f>F22/259.1*100</f>
        <v>1944.4693168660745</v>
      </c>
      <c r="M22" s="35">
        <f>E22-червень!E22</f>
        <v>213.00000000000006</v>
      </c>
      <c r="N22" s="35">
        <f>F22-червень!F22</f>
        <v>81.01699999999983</v>
      </c>
      <c r="O22" s="138">
        <f t="shared" si="3"/>
        <v>-131.98300000000023</v>
      </c>
      <c r="P22" s="136">
        <f t="shared" si="5"/>
        <v>38.0361502347417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235.68</v>
      </c>
      <c r="G23" s="135">
        <f t="shared" si="0"/>
        <v>-314.32</v>
      </c>
      <c r="H23" s="137"/>
      <c r="I23" s="136">
        <f t="shared" si="1"/>
        <v>-1264.32</v>
      </c>
      <c r="J23" s="136">
        <f t="shared" si="6"/>
        <v>15.712000000000002</v>
      </c>
      <c r="K23" s="136">
        <f>F23-0</f>
        <v>235.68</v>
      </c>
      <c r="L23" s="136"/>
      <c r="M23" s="35">
        <f>E23-червень!E23</f>
        <v>300</v>
      </c>
      <c r="N23" s="35">
        <f>F23-червень!F23</f>
        <v>25</v>
      </c>
      <c r="O23" s="138">
        <f t="shared" si="3"/>
        <v>-275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49971.87</v>
      </c>
      <c r="G24" s="135">
        <f t="shared" si="0"/>
        <v>-6577.129999999997</v>
      </c>
      <c r="H24" s="137">
        <f t="shared" si="4"/>
        <v>88.36914887973263</v>
      </c>
      <c r="I24" s="136">
        <f t="shared" si="1"/>
        <v>-45728.13</v>
      </c>
      <c r="J24" s="136">
        <f t="shared" si="6"/>
        <v>52.21721003134796</v>
      </c>
      <c r="K24" s="139">
        <f>F24-47102.16</f>
        <v>2869.709999999999</v>
      </c>
      <c r="L24" s="139">
        <f>F24/47102.16*100</f>
        <v>106.09252314543536</v>
      </c>
      <c r="M24" s="35">
        <f>E24-червень!E24</f>
        <v>8808</v>
      </c>
      <c r="N24" s="35">
        <f>F24-червень!F24</f>
        <v>382.33699999999953</v>
      </c>
      <c r="O24" s="138">
        <f t="shared" si="3"/>
        <v>-8425.663</v>
      </c>
      <c r="P24" s="136">
        <f t="shared" si="5"/>
        <v>4.340792461398723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-403.36</v>
      </c>
      <c r="G26" s="43">
        <f t="shared" si="0"/>
        <v>-403.36</v>
      </c>
      <c r="H26" s="35"/>
      <c r="I26" s="50">
        <f t="shared" si="1"/>
        <v>-403.36</v>
      </c>
      <c r="J26" s="136"/>
      <c r="K26" s="178">
        <f>F26-3736.89</f>
        <v>-4140.25</v>
      </c>
      <c r="L26" s="178">
        <f>F26/3736.89*100</f>
        <v>-10.794002499404586</v>
      </c>
      <c r="M26" s="35">
        <f>E26-червень!E26</f>
        <v>0</v>
      </c>
      <c r="N26" s="35">
        <f>F26-червень!F26</f>
        <v>-0.0010000000000331966</v>
      </c>
      <c r="O26" s="47">
        <f t="shared" si="3"/>
        <v>-0.0010000000000331966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46702.14</v>
      </c>
      <c r="G27" s="43">
        <f t="shared" si="0"/>
        <v>-5224.360000000001</v>
      </c>
      <c r="H27" s="35">
        <f t="shared" si="4"/>
        <v>89.93893291479303</v>
      </c>
      <c r="I27" s="50">
        <f t="shared" si="1"/>
        <v>-21797.86</v>
      </c>
      <c r="J27" s="178">
        <f t="shared" si="6"/>
        <v>68.17830656934306</v>
      </c>
      <c r="K27" s="132">
        <f>F27-46209.73</f>
        <v>492.4099999999962</v>
      </c>
      <c r="L27" s="132">
        <f>F27/46209.73*100</f>
        <v>101.06559808940669</v>
      </c>
      <c r="M27" s="35">
        <f>E27-червень!E27</f>
        <v>6550</v>
      </c>
      <c r="N27" s="35">
        <f>F27-червень!F27</f>
        <v>649.1699999999983</v>
      </c>
      <c r="O27" s="47">
        <f t="shared" si="3"/>
        <v>-5900.830000000002</v>
      </c>
      <c r="P27" s="50">
        <f t="shared" si="5"/>
        <v>9.910992366412188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11579.96</v>
      </c>
      <c r="G29" s="135">
        <f t="shared" si="0"/>
        <v>-660.0400000000009</v>
      </c>
      <c r="H29" s="137">
        <f t="shared" si="4"/>
        <v>94.60751633986926</v>
      </c>
      <c r="I29" s="136">
        <f t="shared" si="1"/>
        <v>-4920.040000000001</v>
      </c>
      <c r="J29" s="136">
        <f t="shared" si="6"/>
        <v>70.18157575757576</v>
      </c>
      <c r="K29" s="139">
        <f>F29-12569.54</f>
        <v>-989.5800000000017</v>
      </c>
      <c r="L29" s="139">
        <f>F29/12569.54*100</f>
        <v>92.1271581935377</v>
      </c>
      <c r="M29" s="35">
        <f>E29-червень!E29</f>
        <v>1200</v>
      </c>
      <c r="N29" s="35">
        <f>F29-червень!F29</f>
        <v>156.79999999999927</v>
      </c>
      <c r="O29" s="138">
        <f t="shared" si="3"/>
        <v>-1043.2000000000007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35115.21</v>
      </c>
      <c r="G30" s="135">
        <f t="shared" si="0"/>
        <v>-4571.290000000001</v>
      </c>
      <c r="H30" s="137">
        <f t="shared" si="4"/>
        <v>88.4814987464251</v>
      </c>
      <c r="I30" s="136">
        <f t="shared" si="1"/>
        <v>-16884.79</v>
      </c>
      <c r="J30" s="136">
        <f t="shared" si="6"/>
        <v>67.52924999999999</v>
      </c>
      <c r="K30" s="139">
        <f>F30-33639.82</f>
        <v>1475.3899999999994</v>
      </c>
      <c r="L30" s="139">
        <f>F30/33639.82*100</f>
        <v>104.38584391949779</v>
      </c>
      <c r="M30" s="35">
        <f>E30-червень!E30</f>
        <v>5350</v>
      </c>
      <c r="N30" s="35">
        <f>F30-червень!F30</f>
        <v>492.3600000000006</v>
      </c>
      <c r="O30" s="138">
        <f t="shared" si="3"/>
        <v>-4857.639999999999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35">
        <f>E31-червень!E31</f>
        <v>0</v>
      </c>
      <c r="N31" s="35">
        <f>F31-червень!F31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4021.27</v>
      </c>
      <c r="G32" s="43">
        <f t="shared" si="0"/>
        <v>19.269999999999982</v>
      </c>
      <c r="H32" s="35">
        <f t="shared" si="4"/>
        <v>100.48150924537731</v>
      </c>
      <c r="I32" s="50">
        <f t="shared" si="1"/>
        <v>-3478.73</v>
      </c>
      <c r="J32" s="178">
        <f t="shared" si="6"/>
        <v>53.61693333333333</v>
      </c>
      <c r="K32" s="178">
        <f>F32-5308.17</f>
        <v>-1286.9</v>
      </c>
      <c r="L32" s="178">
        <f>F32/5308.17*100</f>
        <v>75.75623990942265</v>
      </c>
      <c r="M32" s="35">
        <f>E32-червень!E32</f>
        <v>7.199999999999818</v>
      </c>
      <c r="N32" s="35">
        <f>F32-червень!F32</f>
        <v>0.4699999999997999</v>
      </c>
      <c r="O32" s="47">
        <f t="shared" si="3"/>
        <v>-6.730000000000018</v>
      </c>
      <c r="P32" s="50">
        <f t="shared" si="5"/>
        <v>6.527777777775164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16935.38</v>
      </c>
      <c r="G33" s="44">
        <f t="shared" si="0"/>
        <v>9760.380000000001</v>
      </c>
      <c r="H33" s="45">
        <f>F33/E33*100</f>
        <v>236.03317073170734</v>
      </c>
      <c r="I33" s="31">
        <f t="shared" si="1"/>
        <v>4368.280000000001</v>
      </c>
      <c r="J33" s="31">
        <f t="shared" si="6"/>
        <v>134.75965019773855</v>
      </c>
      <c r="K33" s="18">
        <f>K34+K35+K36+K37+K38+K41+K42+K47+K48+K52+K40</f>
        <v>9492.98</v>
      </c>
      <c r="L33" s="18"/>
      <c r="M33" s="18">
        <f>M34+M35+M36+M37+M38+M41+M42+M47+M48+M52+M40+M39</f>
        <v>1057.5</v>
      </c>
      <c r="N33" s="18">
        <f>N34+N35+N36+N37+N38+N41+N42+N47+N48+N52+N40+N39</f>
        <v>1062.3799999999997</v>
      </c>
      <c r="O33" s="49">
        <f t="shared" si="3"/>
        <v>4.879999999999654</v>
      </c>
      <c r="P33" s="31">
        <f>N33/M33*100</f>
        <v>100.46146572104016</v>
      </c>
      <c r="Q33" s="31">
        <f>N33-1017.63</f>
        <v>44.74999999999966</v>
      </c>
      <c r="R33" s="127">
        <f>N33/1017.63</f>
        <v>1.0439747255878853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82.03</v>
      </c>
      <c r="G38" s="43">
        <f t="shared" si="0"/>
        <v>2.030000000000001</v>
      </c>
      <c r="H38" s="35">
        <f>F38/E38*100</f>
        <v>102.5375</v>
      </c>
      <c r="I38" s="50">
        <f t="shared" si="1"/>
        <v>-57.97</v>
      </c>
      <c r="J38" s="50">
        <f t="shared" si="6"/>
        <v>58.59285714285715</v>
      </c>
      <c r="K38" s="50">
        <f>F38-78.24</f>
        <v>3.7900000000000063</v>
      </c>
      <c r="L38" s="50">
        <f>F38/78.24*100</f>
        <v>104.84406952965234</v>
      </c>
      <c r="M38" s="35">
        <f>E38-червень!E38</f>
        <v>15</v>
      </c>
      <c r="N38" s="35">
        <f>F38-червень!F38</f>
        <v>0.4099999999999966</v>
      </c>
      <c r="O38" s="47">
        <f t="shared" si="3"/>
        <v>-14.590000000000003</v>
      </c>
      <c r="P38" s="50">
        <f>N38/M38*100</f>
        <v>2.7333333333333107</v>
      </c>
      <c r="Q38" s="50">
        <f>N38-9.02</f>
        <v>-8.610000000000003</v>
      </c>
      <c r="R38" s="126">
        <f>N38/9.02</f>
        <v>0.04545454545454508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5031.72</v>
      </c>
      <c r="G40" s="43"/>
      <c r="H40" s="35"/>
      <c r="I40" s="50">
        <f t="shared" si="1"/>
        <v>5031.72</v>
      </c>
      <c r="J40" s="50"/>
      <c r="K40" s="50">
        <f>F40-0</f>
        <v>5031.72</v>
      </c>
      <c r="L40" s="50"/>
      <c r="M40" s="35">
        <f>E40-червень!E40</f>
        <v>0</v>
      </c>
      <c r="N40" s="35">
        <f>F40-червень!F40</f>
        <v>104.11999999999989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4124.61</v>
      </c>
      <c r="G42" s="43">
        <f t="shared" si="0"/>
        <v>3562.6099999999997</v>
      </c>
      <c r="H42" s="35">
        <f>F42/E42*100</f>
        <v>733.9163701067615</v>
      </c>
      <c r="I42" s="50">
        <f t="shared" si="1"/>
        <v>3024.6099999999997</v>
      </c>
      <c r="J42" s="50">
        <f t="shared" si="6"/>
        <v>374.96454545454543</v>
      </c>
      <c r="K42" s="50">
        <f>F42-531.41</f>
        <v>3593.2</v>
      </c>
      <c r="L42" s="50">
        <f>F42/531.41*100</f>
        <v>776.1634143128657</v>
      </c>
      <c r="M42" s="35">
        <f>E42-червень!E42</f>
        <v>112</v>
      </c>
      <c r="N42" s="35">
        <f>F42-червень!F42</f>
        <v>91.36999999999989</v>
      </c>
      <c r="O42" s="47">
        <f t="shared" si="3"/>
        <v>-20.63000000000011</v>
      </c>
      <c r="P42" s="50">
        <f>N42/M42*100</f>
        <v>81.58035714285704</v>
      </c>
      <c r="Q42" s="50">
        <f>N42-79.51</f>
        <v>11.859999999999886</v>
      </c>
      <c r="R42" s="126">
        <f>N42/79.51</f>
        <v>1.149163627216701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601.85</v>
      </c>
      <c r="G43" s="135">
        <f t="shared" si="0"/>
        <v>111.85000000000002</v>
      </c>
      <c r="H43" s="137">
        <f>F43/E43*100</f>
        <v>122.82653061224491</v>
      </c>
      <c r="I43" s="136">
        <f t="shared" si="1"/>
        <v>-368.15</v>
      </c>
      <c r="J43" s="136">
        <f t="shared" si="6"/>
        <v>62.04639175257732</v>
      </c>
      <c r="K43" s="136">
        <f>F43-359.18</f>
        <v>242.67000000000002</v>
      </c>
      <c r="L43" s="136">
        <f>F43/359.18*100</f>
        <v>167.56222506821092</v>
      </c>
      <c r="M43" s="35">
        <f>E43-червень!E43</f>
        <v>100</v>
      </c>
      <c r="N43" s="35">
        <f>F43-червень!F43</f>
        <v>19.110000000000014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45.39</v>
      </c>
      <c r="G44" s="135">
        <f t="shared" si="0"/>
        <v>45.39</v>
      </c>
      <c r="H44" s="137"/>
      <c r="I44" s="136">
        <f t="shared" si="1"/>
        <v>45.39</v>
      </c>
      <c r="J44" s="136"/>
      <c r="K44" s="136">
        <f>F44-0</f>
        <v>45.39</v>
      </c>
      <c r="L44" s="136"/>
      <c r="M44" s="35">
        <f>E44-червень!E44</f>
        <v>0</v>
      </c>
      <c r="N44" s="35">
        <f>F44-червень!F44</f>
        <v>0.240000000000002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3476.63</v>
      </c>
      <c r="G46" s="135">
        <f t="shared" si="0"/>
        <v>3404.63</v>
      </c>
      <c r="H46" s="137">
        <f>F46/E46*100</f>
        <v>4828.652777777777</v>
      </c>
      <c r="I46" s="136">
        <f t="shared" si="1"/>
        <v>3346.63</v>
      </c>
      <c r="J46" s="136">
        <f t="shared" si="6"/>
        <v>2674.330769230769</v>
      </c>
      <c r="K46" s="136">
        <f>F46-56.15</f>
        <v>3420.48</v>
      </c>
      <c r="L46" s="136">
        <f>F46/56.15*100</f>
        <v>6191.682991985753</v>
      </c>
      <c r="M46" s="35">
        <f>E46-червень!E46</f>
        <v>-8</v>
      </c>
      <c r="N46" s="35">
        <f>F46-червень!F46</f>
        <v>72.0300000000002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2263.16</v>
      </c>
      <c r="G48" s="43">
        <f t="shared" si="0"/>
        <v>-86.84000000000015</v>
      </c>
      <c r="H48" s="35">
        <f>F48/E48*100</f>
        <v>96.30468085106384</v>
      </c>
      <c r="I48" s="50">
        <f t="shared" si="1"/>
        <v>-1936.8400000000001</v>
      </c>
      <c r="J48" s="50">
        <f>F48/D48*100</f>
        <v>53.8847619047619</v>
      </c>
      <c r="K48" s="50">
        <f>F48-2346.09</f>
        <v>-82.93000000000029</v>
      </c>
      <c r="L48" s="50">
        <f>F48/2346.09*100</f>
        <v>96.4651824951302</v>
      </c>
      <c r="M48" s="35">
        <f>E48-червень!E48</f>
        <v>370</v>
      </c>
      <c r="N48" s="35">
        <f>F48-червень!F48</f>
        <v>27.009999999999764</v>
      </c>
      <c r="O48" s="47">
        <f t="shared" si="3"/>
        <v>-342.99000000000024</v>
      </c>
      <c r="P48" s="50">
        <f aca="true" t="shared" si="7" ref="P48:P53">N48/M48*100</f>
        <v>7.299999999999936</v>
      </c>
      <c r="Q48" s="50">
        <f>N48-277.38</f>
        <v>-250.37000000000023</v>
      </c>
      <c r="R48" s="126">
        <f>N48/277.38</f>
        <v>0.09737544163241676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594.5</v>
      </c>
      <c r="G51" s="135">
        <f t="shared" si="0"/>
        <v>594.5</v>
      </c>
      <c r="H51" s="137"/>
      <c r="I51" s="136">
        <f t="shared" si="1"/>
        <v>594.5</v>
      </c>
      <c r="J51" s="136"/>
      <c r="K51" s="136">
        <f>F51-469.9</f>
        <v>124.60000000000002</v>
      </c>
      <c r="L51" s="138">
        <f>F51/469.9*100</f>
        <v>126.51628005958715</v>
      </c>
      <c r="M51" s="35">
        <f>E51-червень!E51</f>
        <v>0</v>
      </c>
      <c r="N51" s="35">
        <f>F51-червень!F51</f>
        <v>15.700000000000045</v>
      </c>
      <c r="O51" s="138">
        <f t="shared" si="3"/>
        <v>15.700000000000045</v>
      </c>
      <c r="P51" s="136"/>
      <c r="Q51" s="50">
        <f>N51-64.93</f>
        <v>-49.22999999999996</v>
      </c>
      <c r="R51" s="126">
        <f>N51/64.93</f>
        <v>0.24179886031110495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326383.4600000001</v>
      </c>
      <c r="G55" s="44">
        <f>F55-E55</f>
        <v>-9154.939999999886</v>
      </c>
      <c r="H55" s="45">
        <f>F55/E55*100</f>
        <v>97.27156712912743</v>
      </c>
      <c r="I55" s="31">
        <f>F55-D55</f>
        <v>-203639.1399999999</v>
      </c>
      <c r="J55" s="31">
        <f>F55/D55*100</f>
        <v>61.57915907736766</v>
      </c>
      <c r="K55" s="31">
        <f>K8+K33+K53+K54</f>
        <v>41614.32400000001</v>
      </c>
      <c r="L55" s="31">
        <f>F55/(F55-K55)*100</f>
        <v>114.61335472816128</v>
      </c>
      <c r="M55" s="18">
        <f>M8+M33+M53+M54</f>
        <v>47811.7</v>
      </c>
      <c r="N55" s="18">
        <f>N8+N33+N53+N54</f>
        <v>5384.8049999999985</v>
      </c>
      <c r="O55" s="49">
        <f>N55-M55</f>
        <v>-42426.895</v>
      </c>
      <c r="P55" s="31">
        <f>N55/M55*100</f>
        <v>11.262525699776411</v>
      </c>
      <c r="Q55" s="31">
        <f>N55-34768</f>
        <v>-29383.195</v>
      </c>
      <c r="R55" s="171">
        <f>N55/34768</f>
        <v>0.15487819259088814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-36.81</v>
      </c>
      <c r="G61" s="43">
        <f aca="true" t="shared" si="8" ref="G61:G68">F61-E61</f>
        <v>-36.81</v>
      </c>
      <c r="H61" s="35"/>
      <c r="I61" s="53">
        <f aca="true" t="shared" si="9" ref="I61:I68">F61-D61</f>
        <v>-36.81</v>
      </c>
      <c r="J61" s="53"/>
      <c r="K61" s="47">
        <f>F61-183.34</f>
        <v>-220.15</v>
      </c>
      <c r="L61" s="53"/>
      <c r="M61" s="35">
        <v>0</v>
      </c>
      <c r="N61" s="36">
        <f>F61-червень!F61</f>
        <v>-5.770000000000003</v>
      </c>
      <c r="O61" s="47">
        <f aca="true" t="shared" si="10" ref="O61:O68">N61-M61</f>
        <v>-5.770000000000003</v>
      </c>
      <c r="P61" s="53"/>
      <c r="Q61" s="53">
        <f>N61-24.53</f>
        <v>-30.300000000000004</v>
      </c>
      <c r="R61" s="129">
        <f>N61/24.53</f>
        <v>-0.23522217692621292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-36.81</v>
      </c>
      <c r="G62" s="55">
        <f t="shared" si="8"/>
        <v>-36.81</v>
      </c>
      <c r="H62" s="65"/>
      <c r="I62" s="54">
        <f t="shared" si="9"/>
        <v>-36.81</v>
      </c>
      <c r="J62" s="54"/>
      <c r="K62" s="54">
        <f>K60+K61</f>
        <v>-219.01000000000002</v>
      </c>
      <c r="L62" s="54"/>
      <c r="M62" s="55">
        <f>M61</f>
        <v>0</v>
      </c>
      <c r="N62" s="33">
        <f>SUM(N60:N61)</f>
        <v>-5.770000000000003</v>
      </c>
      <c r="O62" s="54">
        <f t="shared" si="10"/>
        <v>-5.770000000000003</v>
      </c>
      <c r="P62" s="54"/>
      <c r="Q62" s="54">
        <f>N62-92.85</f>
        <v>-98.62</v>
      </c>
      <c r="R62" s="130">
        <f>N62/92.85</f>
        <v>-0.06214324178782987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194.01</v>
      </c>
      <c r="G64" s="43">
        <f t="shared" si="8"/>
        <v>-205.99</v>
      </c>
      <c r="H64" s="35"/>
      <c r="I64" s="53">
        <f t="shared" si="9"/>
        <v>-2305.99</v>
      </c>
      <c r="J64" s="53">
        <f t="shared" si="11"/>
        <v>7.760399999999999</v>
      </c>
      <c r="K64" s="53">
        <f>F64-1678.13</f>
        <v>-1484.1200000000001</v>
      </c>
      <c r="L64" s="53">
        <f>F64/1678.13*100</f>
        <v>11.56108287200634</v>
      </c>
      <c r="M64" s="35">
        <f>E64-червень!E64</f>
        <v>0</v>
      </c>
      <c r="N64" s="35">
        <f>F64-червень!F64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3257.07</v>
      </c>
      <c r="G65" s="43">
        <f t="shared" si="8"/>
        <v>-455.69000000000005</v>
      </c>
      <c r="H65" s="35">
        <f>F65/E65*100</f>
        <v>87.72638145207338</v>
      </c>
      <c r="I65" s="53">
        <f t="shared" si="9"/>
        <v>-8318.93</v>
      </c>
      <c r="J65" s="53">
        <f t="shared" si="11"/>
        <v>28.136402902557016</v>
      </c>
      <c r="K65" s="53">
        <f>F65-2235.97</f>
        <v>1021.1000000000004</v>
      </c>
      <c r="L65" s="53">
        <f>F65/2235.97*100</f>
        <v>145.66698122067828</v>
      </c>
      <c r="M65" s="35">
        <f>E65-червень!E65</f>
        <v>1213.0600000000004</v>
      </c>
      <c r="N65" s="35">
        <f>F65-червень!F65</f>
        <v>0</v>
      </c>
      <c r="O65" s="47">
        <f t="shared" si="10"/>
        <v>-1213.0600000000004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5269.5</v>
      </c>
      <c r="G67" s="55">
        <f t="shared" si="8"/>
        <v>268.1399999999994</v>
      </c>
      <c r="H67" s="65">
        <f>F67/E67*100</f>
        <v>105.3613417150535</v>
      </c>
      <c r="I67" s="54">
        <f t="shared" si="9"/>
        <v>-11806.5</v>
      </c>
      <c r="J67" s="54">
        <f t="shared" si="11"/>
        <v>30.859100491918483</v>
      </c>
      <c r="K67" s="54">
        <f>K64+K65+K66</f>
        <v>591.1800000000003</v>
      </c>
      <c r="L67" s="54"/>
      <c r="M67" s="55">
        <f>M64+M65+M66</f>
        <v>1361.1600000000003</v>
      </c>
      <c r="N67" s="55">
        <f>N64+N65+N66</f>
        <v>0.009999999999990905</v>
      </c>
      <c r="O67" s="54">
        <f t="shared" si="10"/>
        <v>-1361.1500000000003</v>
      </c>
      <c r="P67" s="54">
        <f>N67/M67*100</f>
        <v>0.0007346674894935866</v>
      </c>
      <c r="Q67" s="54">
        <f>N67-7985.28</f>
        <v>-7985.2699999999995</v>
      </c>
      <c r="R67" s="173">
        <f>N67/7985.28</f>
        <v>1.2523042398000953E-06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5253.89</v>
      </c>
      <c r="G74" s="44">
        <f>F74-E74</f>
        <v>203.53999999999996</v>
      </c>
      <c r="H74" s="45">
        <f>F74/E74*100</f>
        <v>104.03021572762283</v>
      </c>
      <c r="I74" s="31">
        <f>F74-D74</f>
        <v>-11918.11</v>
      </c>
      <c r="J74" s="31">
        <f>F74/D74*100</f>
        <v>30.595679012345684</v>
      </c>
      <c r="K74" s="31">
        <f>K62+K67+K71+K72</f>
        <v>336.6000000000003</v>
      </c>
      <c r="L74" s="31"/>
      <c r="M74" s="27">
        <f>M62+M72+M67+M71</f>
        <v>1364.3600000000004</v>
      </c>
      <c r="N74" s="27">
        <f>N62+N72+N67+N71+N73</f>
        <v>-5.760000000000012</v>
      </c>
      <c r="O74" s="31">
        <f>N74-M74</f>
        <v>-1370.1200000000003</v>
      </c>
      <c r="P74" s="31">
        <f>N74/M74*100</f>
        <v>-0.42217596528775475</v>
      </c>
      <c r="Q74" s="31">
        <f>N74-8104.96</f>
        <v>-8110.72</v>
      </c>
      <c r="R74" s="127">
        <f>N74/8104.96</f>
        <v>-0.0007106759317751121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331637.3500000001</v>
      </c>
      <c r="G75" s="44">
        <f>F75-E75</f>
        <v>-8951.399999999849</v>
      </c>
      <c r="H75" s="45">
        <f>F75/E75*100</f>
        <v>97.37178635524519</v>
      </c>
      <c r="I75" s="31">
        <f>F75-D75</f>
        <v>-215557.24999999988</v>
      </c>
      <c r="J75" s="31">
        <f>F75/D75*100</f>
        <v>60.6068389563786</v>
      </c>
      <c r="K75" s="31">
        <f>K55+K74</f>
        <v>41950.924000000006</v>
      </c>
      <c r="L75" s="31">
        <f>F75/(F75-K75)*100</f>
        <v>114.48149455231982</v>
      </c>
      <c r="M75" s="18">
        <f>M55+M74</f>
        <v>49176.06</v>
      </c>
      <c r="N75" s="18">
        <f>N55+N74</f>
        <v>5379.044999999998</v>
      </c>
      <c r="O75" s="31">
        <f>N75-M75</f>
        <v>-43797.015</v>
      </c>
      <c r="P75" s="31">
        <f>N75/M75*100</f>
        <v>10.938340729208477</v>
      </c>
      <c r="Q75" s="31">
        <f>N75-42872.96</f>
        <v>-37493.915</v>
      </c>
      <c r="R75" s="127">
        <f>N75/42872.96</f>
        <v>0.12546474514472522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20</v>
      </c>
      <c r="D77" s="4" t="s">
        <v>118</v>
      </c>
    </row>
    <row r="78" spans="2:17" ht="31.5">
      <c r="B78" s="71" t="s">
        <v>154</v>
      </c>
      <c r="C78" s="34">
        <f>IF(O55&lt;0,ABS(O55/C77),0)</f>
        <v>2121.3447499999997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42188</v>
      </c>
      <c r="D79" s="34">
        <v>2605.7</v>
      </c>
      <c r="N79" s="232"/>
      <c r="O79" s="232"/>
    </row>
    <row r="80" spans="3:15" ht="15.75">
      <c r="C80" s="111">
        <v>42187</v>
      </c>
      <c r="D80" s="34">
        <v>1719.1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42186</v>
      </c>
      <c r="D81" s="34">
        <v>1060.1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22.6467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151831.33365000002</v>
      </c>
      <c r="E83" s="73"/>
      <c r="F83" s="156" t="s">
        <v>147</v>
      </c>
      <c r="G83" s="238" t="s">
        <v>149</v>
      </c>
      <c r="H83" s="238"/>
      <c r="I83" s="107">
        <v>142898.95474000002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277</v>
      </c>
      <c r="N3" s="218" t="s">
        <v>278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279</v>
      </c>
      <c r="F4" s="223" t="s">
        <v>116</v>
      </c>
      <c r="G4" s="225" t="s">
        <v>275</v>
      </c>
      <c r="H4" s="227" t="s">
        <v>276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288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578.8</v>
      </c>
      <c r="G51" s="135">
        <f t="shared" si="0"/>
        <v>578.8</v>
      </c>
      <c r="H51" s="137"/>
      <c r="I51" s="136">
        <f t="shared" si="1"/>
        <v>578.8</v>
      </c>
      <c r="J51" s="136"/>
      <c r="K51" s="136">
        <f>F51-362.7</f>
        <v>216.09999999999997</v>
      </c>
      <c r="L51" s="138">
        <f>F51/362.7*100</f>
        <v>159.58092087124345</v>
      </c>
      <c r="M51" s="137">
        <f>E51-травень!E51</f>
        <v>0</v>
      </c>
      <c r="N51" s="137">
        <f>F51-травень!F51</f>
        <v>145.89999999999998</v>
      </c>
      <c r="O51" s="138">
        <f t="shared" si="3"/>
        <v>145.89999999999998</v>
      </c>
      <c r="P51" s="136"/>
      <c r="Q51" s="50">
        <f>N51-64.93</f>
        <v>80.96999999999997</v>
      </c>
      <c r="R51" s="126">
        <f>N51/64.93</f>
        <v>2.247035268750962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42180</v>
      </c>
      <c r="D81" s="34">
        <v>4146.6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152943.93305000002</v>
      </c>
      <c r="E83" s="73"/>
      <c r="F83" s="156" t="s">
        <v>147</v>
      </c>
      <c r="G83" s="238" t="s">
        <v>149</v>
      </c>
      <c r="H83" s="238"/>
      <c r="I83" s="107">
        <v>144034.20084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54" sqref="K5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L84" sqref="L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G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2015-07-06T07:39:00Z</cp:lastPrinted>
  <dcterms:created xsi:type="dcterms:W3CDTF">2003-07-28T11:27:56Z</dcterms:created>
  <dcterms:modified xsi:type="dcterms:W3CDTF">2015-07-06T08:53:31Z</dcterms:modified>
  <cp:category/>
  <cp:version/>
  <cp:contentType/>
  <cp:contentStatus/>
</cp:coreProperties>
</file>